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geloni\OneDrive - Luminex Corporation\Desktop\Bead concentration tools\"/>
    </mc:Choice>
  </mc:AlternateContent>
  <bookViews>
    <workbookView xWindow="1703" yWindow="1755" windowWidth="20138" windowHeight="8475" tabRatio="846"/>
  </bookViews>
  <sheets>
    <sheet name="Select volume and concentration" sheetId="4" r:id="rId1"/>
    <sheet name="Whole stock dilution" sheetId="7" r:id="rId2"/>
  </sheets>
  <calcPr calcId="162913"/>
</workbook>
</file>

<file path=xl/calcChain.xml><?xml version="1.0" encoding="utf-8"?>
<calcChain xmlns="http://schemas.openxmlformats.org/spreadsheetml/2006/main">
  <c r="E9" i="4" l="1"/>
  <c r="E10" i="4"/>
  <c r="E11" i="4"/>
  <c r="E12" i="4"/>
  <c r="J12" i="4" l="1"/>
  <c r="K12" i="4" s="1"/>
  <c r="J11" i="4"/>
  <c r="K11" i="4" s="1"/>
  <c r="F11" i="4"/>
  <c r="L11" i="4" s="1"/>
  <c r="G11" i="4" l="1"/>
  <c r="M11" i="4" s="1"/>
  <c r="F12" i="4"/>
  <c r="E12" i="7"/>
  <c r="E11" i="7"/>
  <c r="E10" i="7"/>
  <c r="E9" i="7"/>
  <c r="E8" i="7"/>
  <c r="E8" i="4"/>
  <c r="L12" i="4" l="1"/>
  <c r="G12" i="4"/>
  <c r="M12" i="4" s="1"/>
  <c r="H11" i="4"/>
  <c r="N11" i="4" s="1"/>
  <c r="H12" i="4" l="1"/>
  <c r="N12" i="4" s="1"/>
  <c r="J9" i="7"/>
  <c r="K9" i="7" s="1"/>
  <c r="J10" i="7"/>
  <c r="G10" i="7"/>
  <c r="H10" i="7" s="1"/>
  <c r="N10" i="7" s="1"/>
  <c r="J12" i="7"/>
  <c r="K12" i="7" s="1"/>
  <c r="J11" i="7"/>
  <c r="K11" i="7" s="1"/>
  <c r="G9" i="7"/>
  <c r="M9" i="7" s="1"/>
  <c r="G8" i="7"/>
  <c r="M8" i="7" s="1"/>
  <c r="L12" i="7"/>
  <c r="L11" i="7"/>
  <c r="L10" i="7"/>
  <c r="K10" i="7"/>
  <c r="L9" i="7"/>
  <c r="L8" i="7"/>
  <c r="J10" i="4"/>
  <c r="K10" i="4" s="1"/>
  <c r="F10" i="4"/>
  <c r="J9" i="4"/>
  <c r="K9" i="4" s="1"/>
  <c r="F9" i="4"/>
  <c r="G12" i="7" l="1"/>
  <c r="M12" i="7" s="1"/>
  <c r="G11" i="7"/>
  <c r="J8" i="7"/>
  <c r="K8" i="7" s="1"/>
  <c r="M10" i="7"/>
  <c r="H9" i="7"/>
  <c r="N9" i="7" s="1"/>
  <c r="H8" i="7"/>
  <c r="N8" i="7" s="1"/>
  <c r="L9" i="4"/>
  <c r="G9" i="4"/>
  <c r="M9" i="4" s="1"/>
  <c r="L10" i="4"/>
  <c r="G10" i="4"/>
  <c r="M10" i="4" s="1"/>
  <c r="M11" i="7" l="1"/>
  <c r="H11" i="7"/>
  <c r="N11" i="7" s="1"/>
  <c r="H12" i="7"/>
  <c r="N12" i="7" s="1"/>
  <c r="H10" i="4"/>
  <c r="N10" i="4" s="1"/>
  <c r="H9" i="4"/>
  <c r="N9" i="4" s="1"/>
  <c r="F8" i="4" l="1"/>
  <c r="L8" i="4" s="1"/>
  <c r="J8" i="4" l="1"/>
  <c r="K8" i="4" s="1"/>
  <c r="G8" i="4"/>
  <c r="H8" i="4" l="1"/>
  <c r="N8" i="4" s="1"/>
  <c r="M8" i="4"/>
</calcChain>
</file>

<file path=xl/comments1.xml><?xml version="1.0" encoding="utf-8"?>
<comments xmlns="http://schemas.openxmlformats.org/spreadsheetml/2006/main">
  <authors>
    <author>Stephen Angeloni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Only enter values in green cells.  Do not edit blue or pink cells.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Only enter values in green cells.  Do not edit blue or pink cells.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>Only enter values in green cells.  Do not edit blue or pink cells.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Stephen Angeloni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Only enter values in green cells.  Do not edit blue or pink cells.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Only enter values in green cells.  Do not edit blue or pink cells.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>Only enter values in green cells.  Do not edit blue or pink cells.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<sst xmlns="http://schemas.openxmlformats.org/spreadsheetml/2006/main" count="53" uniqueCount="33">
  <si>
    <t>Volume (ul) of dilution buffer for stock volume needed</t>
  </si>
  <si>
    <t>ul of stock desired=</t>
  </si>
  <si>
    <t>Calculations for volumes needed to make individual bead stocks at same beads/ml</t>
  </si>
  <si>
    <t>% bead loss</t>
  </si>
  <si>
    <t>% bead recovery</t>
  </si>
  <si>
    <t>Prot1 (42 ) 2.5 ug</t>
  </si>
  <si>
    <t>Prot1 (42 ) 1.25 ug</t>
  </si>
  <si>
    <t>Prot1 (42 ) 0.625 ug</t>
  </si>
  <si>
    <t>Prot A (45)</t>
  </si>
  <si>
    <t>Prot B (26)</t>
  </si>
  <si>
    <t>Volume (ul) of coupled beads needed to make  desired volume of stock</t>
  </si>
  <si>
    <t>Stock beads/ml desired =</t>
  </si>
  <si>
    <t>Actual beads/ml</t>
  </si>
  <si>
    <t>Total volume of coupled beads in ul</t>
  </si>
  <si>
    <t>beads/ml desired for all stocks =</t>
  </si>
  <si>
    <t>Volume (ul) of dilution buffer needed</t>
  </si>
  <si>
    <t>Total volume of coupled beads in ml</t>
  </si>
  <si>
    <t>Volume (ml) of dilution buffer needed</t>
  </si>
  <si>
    <t>if ml volumes are needed</t>
  </si>
  <si>
    <t>If ml volumes are needed</t>
  </si>
  <si>
    <t>Volume (ml) of coupled beads needed to make  desired volume of stock</t>
  </si>
  <si>
    <t>Total volume in ul</t>
  </si>
  <si>
    <t>Expected beads/ml</t>
  </si>
  <si>
    <t>Total volume in ml</t>
  </si>
  <si>
    <t>beads/ml</t>
  </si>
  <si>
    <t xml:space="preserve"> beads/ml</t>
  </si>
  <si>
    <t>dilution factor</t>
  </si>
  <si>
    <t>Analyte name</t>
  </si>
  <si>
    <t>bead ID</t>
  </si>
  <si>
    <t>Make sure to enter correct dilution factor</t>
  </si>
  <si>
    <t>Enter values in green cells</t>
  </si>
  <si>
    <t>Results displayed in blue cells</t>
  </si>
  <si>
    <t>Pink cells are ul to pipette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</si>
</sst>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3" fontId="0" fillId="2" borderId="0" xfId="0" applyNumberFormat="1" applyFill="1"/>
    <xf numFmtId="0" fontId="0" fillId="0" borderId="0" xfId="0" applyAlignment="1">
      <alignment horizontal="left" vertical="top" wrapText="1"/>
    </xf>
    <xf numFmtId="4" fontId="0" fillId="2" borderId="0" xfId="0" applyNumberFormat="1" applyFill="1"/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  <xf numFmtId="3" fontId="0" fillId="3" borderId="0" xfId="0" applyNumberFormat="1" applyFill="1"/>
    <xf numFmtId="0" fontId="0" fillId="0" borderId="0" xfId="0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3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3" fontId="0" fillId="3" borderId="0" xfId="0" applyNumberFormat="1" applyFill="1" applyProtection="1"/>
    <xf numFmtId="0" fontId="0" fillId="0" borderId="0" xfId="0" applyProtection="1"/>
    <xf numFmtId="0" fontId="0" fillId="0" borderId="0" xfId="0" applyAlignment="1" applyProtection="1">
      <alignment horizontal="left" vertical="top" wrapText="1"/>
    </xf>
    <xf numFmtId="0" fontId="0" fillId="0" borderId="0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  <protection locked="0"/>
    </xf>
    <xf numFmtId="4" fontId="0" fillId="3" borderId="0" xfId="0" applyNumberFormat="1" applyFill="1"/>
    <xf numFmtId="4" fontId="0" fillId="4" borderId="0" xfId="0" applyNumberFormat="1" applyFill="1"/>
    <xf numFmtId="2" fontId="0" fillId="4" borderId="0" xfId="0" applyNumberFormat="1" applyFill="1"/>
    <xf numFmtId="4" fontId="0" fillId="4" borderId="0" xfId="0" applyNumberFormat="1" applyFill="1" applyProtection="1"/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1" fillId="0" borderId="0" xfId="0" applyFont="1"/>
    <xf numFmtId="3" fontId="0" fillId="4" borderId="0" xfId="0" applyNumberFormat="1" applyFill="1"/>
    <xf numFmtId="3" fontId="0" fillId="4" borderId="0" xfId="0" applyNumberFormat="1" applyFill="1" applyProtection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0" xfId="0" applyFill="1" applyAlignment="1"/>
    <xf numFmtId="0" fontId="0" fillId="0" borderId="0" xfId="0" applyAlignment="1"/>
    <xf numFmtId="0" fontId="0" fillId="5" borderId="0" xfId="0" applyFill="1" applyAlignment="1"/>
    <xf numFmtId="0" fontId="0" fillId="3" borderId="0" xfId="0" applyFill="1" applyAlignment="1"/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4" fontId="0" fillId="0" borderId="0" xfId="0" applyNumberFormat="1" applyProtection="1">
      <protection locked="0"/>
    </xf>
    <xf numFmtId="4" fontId="0" fillId="0" borderId="0" xfId="0" applyNumberFormat="1"/>
    <xf numFmtId="4" fontId="0" fillId="0" borderId="4" xfId="0" applyNumberFormat="1" applyBorder="1" applyAlignment="1" applyProtection="1">
      <alignment horizontal="center" vertical="center" wrapText="1"/>
    </xf>
    <xf numFmtId="4" fontId="0" fillId="3" borderId="0" xfId="0" applyNumberFormat="1" applyFill="1" applyProtection="1">
      <protection locked="0"/>
    </xf>
    <xf numFmtId="4" fontId="0" fillId="4" borderId="0" xfId="0" applyNumberForma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B40" sqref="B40"/>
    </sheetView>
  </sheetViews>
  <sheetFormatPr defaultRowHeight="14.25" x14ac:dyDescent="0.45"/>
  <cols>
    <col min="2" max="2" width="20" bestFit="1" customWidth="1"/>
    <col min="3" max="3" width="16.06640625" customWidth="1"/>
    <col min="4" max="4" width="16.86328125" bestFit="1" customWidth="1"/>
    <col min="5" max="5" width="19.33203125" bestFit="1" customWidth="1"/>
    <col min="6" max="6" width="21.53125" bestFit="1" customWidth="1"/>
    <col min="7" max="7" width="23.86328125" customWidth="1"/>
    <col min="9" max="9" width="10.3984375" customWidth="1"/>
    <col min="10" max="10" width="8.06640625" bestFit="1" customWidth="1"/>
    <col min="11" max="11" width="16.33203125" customWidth="1"/>
    <col min="12" max="12" width="20.3984375" customWidth="1"/>
    <col min="13" max="13" width="18.33203125" customWidth="1"/>
  </cols>
  <sheetData>
    <row r="1" spans="1:14" ht="15" thickTop="1" thickBot="1" x14ac:dyDescent="0.5">
      <c r="C1" s="34" t="s">
        <v>2</v>
      </c>
      <c r="D1" s="35"/>
      <c r="E1" s="35"/>
      <c r="F1" s="35"/>
      <c r="G1" s="36"/>
      <c r="H1" s="2"/>
      <c r="I1" s="2"/>
    </row>
    <row r="2" spans="1:14" ht="14.65" thickTop="1" x14ac:dyDescent="0.45">
      <c r="A2" s="31" t="s">
        <v>29</v>
      </c>
      <c r="D2" s="7"/>
      <c r="E2" s="7"/>
      <c r="F2" s="7"/>
      <c r="G2" s="7"/>
      <c r="H2" s="2"/>
      <c r="I2" s="2"/>
    </row>
    <row r="3" spans="1:14" x14ac:dyDescent="0.45">
      <c r="A3" s="40" t="s">
        <v>30</v>
      </c>
      <c r="B3" s="41"/>
    </row>
    <row r="4" spans="1:14" x14ac:dyDescent="0.45">
      <c r="A4" s="42" t="s">
        <v>31</v>
      </c>
      <c r="B4" s="41"/>
    </row>
    <row r="5" spans="1:14" x14ac:dyDescent="0.45">
      <c r="A5" s="43" t="s">
        <v>32</v>
      </c>
      <c r="B5" s="41"/>
    </row>
    <row r="6" spans="1:14" x14ac:dyDescent="0.45">
      <c r="E6" s="4" t="s">
        <v>1</v>
      </c>
      <c r="F6" s="3">
        <v>1000</v>
      </c>
      <c r="G6" s="5" t="s">
        <v>11</v>
      </c>
      <c r="H6" s="1">
        <v>1000000</v>
      </c>
      <c r="J6" s="2"/>
      <c r="L6" s="37" t="s">
        <v>19</v>
      </c>
      <c r="M6" s="38"/>
      <c r="N6" s="39"/>
    </row>
    <row r="7" spans="1:14" s="27" customFormat="1" ht="61.25" customHeight="1" x14ac:dyDescent="0.45">
      <c r="A7" s="29" t="s">
        <v>28</v>
      </c>
      <c r="B7" s="30" t="s">
        <v>27</v>
      </c>
      <c r="C7" s="25" t="s">
        <v>25</v>
      </c>
      <c r="D7" s="25" t="s">
        <v>26</v>
      </c>
      <c r="E7" s="25" t="s">
        <v>12</v>
      </c>
      <c r="F7" s="25" t="s">
        <v>10</v>
      </c>
      <c r="G7" s="25" t="s">
        <v>0</v>
      </c>
      <c r="H7" s="25" t="s">
        <v>21</v>
      </c>
      <c r="I7" s="26" t="s">
        <v>22</v>
      </c>
      <c r="J7" s="26" t="s">
        <v>3</v>
      </c>
      <c r="K7" s="26" t="s">
        <v>4</v>
      </c>
      <c r="L7" s="18" t="s">
        <v>20</v>
      </c>
      <c r="M7" s="18" t="s">
        <v>17</v>
      </c>
      <c r="N7" s="18" t="s">
        <v>23</v>
      </c>
    </row>
    <row r="8" spans="1:14" x14ac:dyDescent="0.45">
      <c r="A8" s="13">
        <v>42</v>
      </c>
      <c r="B8" s="13" t="s">
        <v>5</v>
      </c>
      <c r="C8" s="12">
        <v>3990000</v>
      </c>
      <c r="D8" s="28">
        <v>2</v>
      </c>
      <c r="E8" s="32">
        <f>C8*D8</f>
        <v>7980000</v>
      </c>
      <c r="F8" s="6">
        <f>F$6*H$6/E8</f>
        <v>125.31328320802005</v>
      </c>
      <c r="G8" s="6">
        <f>F$6-F8</f>
        <v>874.68671679197996</v>
      </c>
      <c r="H8" s="22">
        <f>F8+G8</f>
        <v>1000</v>
      </c>
      <c r="I8" s="1">
        <v>8000000</v>
      </c>
      <c r="J8" s="23">
        <f>100-(E8/I8*100)</f>
        <v>0.25</v>
      </c>
      <c r="K8" s="23">
        <f>100-J8</f>
        <v>99.75</v>
      </c>
      <c r="L8" s="21">
        <f>F8/1000</f>
        <v>0.12531328320802004</v>
      </c>
      <c r="M8" s="21">
        <f t="shared" ref="M8:N8" si="0">G8/1000</f>
        <v>0.87468671679197996</v>
      </c>
      <c r="N8" s="22">
        <f t="shared" si="0"/>
        <v>1</v>
      </c>
    </row>
    <row r="9" spans="1:14" x14ac:dyDescent="0.45">
      <c r="A9" s="13">
        <v>42</v>
      </c>
      <c r="B9" s="13" t="s">
        <v>6</v>
      </c>
      <c r="C9" s="12">
        <v>3898000</v>
      </c>
      <c r="D9" s="28">
        <v>2</v>
      </c>
      <c r="E9" s="32">
        <f t="shared" ref="E9:E12" si="1">C9*D9</f>
        <v>7796000</v>
      </c>
      <c r="F9" s="6">
        <f>F$6*H$6/E9</f>
        <v>128.27090815802975</v>
      </c>
      <c r="G9" s="6">
        <f>F$6-F9</f>
        <v>871.72909184197022</v>
      </c>
      <c r="H9" s="22">
        <f t="shared" ref="H9:H10" si="2">F9+G9</f>
        <v>1000</v>
      </c>
      <c r="I9" s="1">
        <v>8000000</v>
      </c>
      <c r="J9" s="23">
        <f t="shared" ref="J9:J10" si="3">100-(E9/I9*100)</f>
        <v>2.5499999999999972</v>
      </c>
      <c r="K9" s="23">
        <f t="shared" ref="K9:K10" si="4">100-J9</f>
        <v>97.45</v>
      </c>
      <c r="L9" s="21">
        <f t="shared" ref="L9:L10" si="5">F9/1000</f>
        <v>0.12827090815802974</v>
      </c>
      <c r="M9" s="21">
        <f t="shared" ref="M9:M10" si="6">G9/1000</f>
        <v>0.87172909184197023</v>
      </c>
      <c r="N9" s="22">
        <f t="shared" ref="N9:N10" si="7">H9/1000</f>
        <v>1</v>
      </c>
    </row>
    <row r="10" spans="1:14" x14ac:dyDescent="0.45">
      <c r="A10" s="13">
        <v>42</v>
      </c>
      <c r="B10" s="13" t="s">
        <v>7</v>
      </c>
      <c r="C10" s="12">
        <v>3900400</v>
      </c>
      <c r="D10" s="28">
        <v>2</v>
      </c>
      <c r="E10" s="32">
        <f t="shared" si="1"/>
        <v>7800800</v>
      </c>
      <c r="F10" s="6">
        <f>F$6*H$6/E10</f>
        <v>128.19198030971182</v>
      </c>
      <c r="G10" s="6">
        <f>F$6-F10</f>
        <v>871.80801969028812</v>
      </c>
      <c r="H10" s="22">
        <f t="shared" si="2"/>
        <v>1000</v>
      </c>
      <c r="I10" s="1">
        <v>8000000</v>
      </c>
      <c r="J10" s="23">
        <f t="shared" si="3"/>
        <v>2.4900000000000091</v>
      </c>
      <c r="K10" s="23">
        <f t="shared" si="4"/>
        <v>97.509999999999991</v>
      </c>
      <c r="L10" s="21">
        <f t="shared" si="5"/>
        <v>0.12819198030971182</v>
      </c>
      <c r="M10" s="21">
        <f t="shared" si="6"/>
        <v>0.87180801969028809</v>
      </c>
      <c r="N10" s="22">
        <f t="shared" si="7"/>
        <v>1</v>
      </c>
    </row>
    <row r="11" spans="1:14" x14ac:dyDescent="0.45">
      <c r="A11" s="13">
        <v>45</v>
      </c>
      <c r="B11" s="13" t="s">
        <v>8</v>
      </c>
      <c r="C11" s="12">
        <v>3900400</v>
      </c>
      <c r="D11" s="28">
        <v>2</v>
      </c>
      <c r="E11" s="32">
        <f t="shared" si="1"/>
        <v>7800800</v>
      </c>
      <c r="F11" s="6">
        <f t="shared" ref="F11:F12" si="8">F$6*H$6/E11</f>
        <v>128.19198030971182</v>
      </c>
      <c r="G11" s="6">
        <f t="shared" ref="G11:G12" si="9">F$6-F11</f>
        <v>871.80801969028812</v>
      </c>
      <c r="H11" s="22">
        <f t="shared" ref="H11:H12" si="10">F11+G11</f>
        <v>1000</v>
      </c>
      <c r="I11" s="1">
        <v>8000000</v>
      </c>
      <c r="J11" s="23">
        <f t="shared" ref="J11:J12" si="11">100-(E11/I11*100)</f>
        <v>2.4900000000000091</v>
      </c>
      <c r="K11" s="23">
        <f t="shared" ref="K11:K12" si="12">100-J11</f>
        <v>97.509999999999991</v>
      </c>
      <c r="L11" s="21">
        <f t="shared" ref="L11:L12" si="13">F11/1000</f>
        <v>0.12819198030971182</v>
      </c>
      <c r="M11" s="21">
        <f t="shared" ref="M11:M12" si="14">G11/1000</f>
        <v>0.87180801969028809</v>
      </c>
      <c r="N11" s="22">
        <f t="shared" ref="N11:N12" si="15">H11/1000</f>
        <v>1</v>
      </c>
    </row>
    <row r="12" spans="1:14" x14ac:dyDescent="0.45">
      <c r="A12" s="13">
        <v>26</v>
      </c>
      <c r="B12" s="13" t="s">
        <v>9</v>
      </c>
      <c r="C12" s="12">
        <v>3900400</v>
      </c>
      <c r="D12" s="28">
        <v>2</v>
      </c>
      <c r="E12" s="32">
        <f t="shared" si="1"/>
        <v>7800800</v>
      </c>
      <c r="F12" s="6">
        <f t="shared" si="8"/>
        <v>128.19198030971182</v>
      </c>
      <c r="G12" s="6">
        <f t="shared" si="9"/>
        <v>871.80801969028812</v>
      </c>
      <c r="H12" s="22">
        <f t="shared" si="10"/>
        <v>1000</v>
      </c>
      <c r="I12" s="1">
        <v>8000000</v>
      </c>
      <c r="J12" s="23">
        <f t="shared" si="11"/>
        <v>2.4900000000000091</v>
      </c>
      <c r="K12" s="23">
        <f t="shared" si="12"/>
        <v>97.509999999999991</v>
      </c>
      <c r="L12" s="21">
        <f t="shared" si="13"/>
        <v>0.12819198030971182</v>
      </c>
      <c r="M12" s="21">
        <f t="shared" si="14"/>
        <v>0.87180801969028809</v>
      </c>
      <c r="N12" s="22">
        <f t="shared" si="15"/>
        <v>1</v>
      </c>
    </row>
  </sheetData>
  <mergeCells count="5">
    <mergeCell ref="C1:G1"/>
    <mergeCell ref="L6:N6"/>
    <mergeCell ref="A3:B3"/>
    <mergeCell ref="A4:B4"/>
    <mergeCell ref="A5:B5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"/>
  <sheetViews>
    <sheetView workbookViewId="0">
      <selection activeCell="M22" sqref="M22"/>
    </sheetView>
  </sheetViews>
  <sheetFormatPr defaultColWidth="8.86328125" defaultRowHeight="14.25" x14ac:dyDescent="0.45"/>
  <cols>
    <col min="1" max="1" width="8.86328125" style="8"/>
    <col min="2" max="2" width="20" style="8" bestFit="1" customWidth="1"/>
    <col min="3" max="3" width="16.86328125" style="8" bestFit="1" customWidth="1"/>
    <col min="4" max="5" width="16.86328125" style="8" customWidth="1"/>
    <col min="6" max="6" width="21.53125" style="8" bestFit="1" customWidth="1"/>
    <col min="7" max="7" width="26.53125" style="8" customWidth="1"/>
    <col min="8" max="8" width="12.3984375" style="8" bestFit="1" customWidth="1"/>
    <col min="9" max="9" width="12.6640625" style="8" bestFit="1" customWidth="1"/>
    <col min="10" max="10" width="12" style="8" bestFit="1" customWidth="1"/>
    <col min="11" max="11" width="14" style="8" customWidth="1"/>
    <col min="12" max="13" width="14" style="47" customWidth="1"/>
    <col min="14" max="14" width="8.86328125" style="47"/>
    <col min="15" max="16384" width="8.86328125" style="8"/>
  </cols>
  <sheetData>
    <row r="1" spans="1:14" ht="15" thickTop="1" thickBot="1" x14ac:dyDescent="0.5">
      <c r="B1" s="15"/>
      <c r="C1" s="44" t="s">
        <v>2</v>
      </c>
      <c r="D1" s="45"/>
      <c r="E1" s="45"/>
      <c r="F1" s="45"/>
      <c r="G1" s="46"/>
      <c r="H1" s="16"/>
      <c r="I1" s="16"/>
      <c r="J1" s="15"/>
    </row>
    <row r="2" spans="1:14" ht="14.65" thickTop="1" x14ac:dyDescent="0.45">
      <c r="A2" s="31" t="s">
        <v>29</v>
      </c>
      <c r="B2" s="17"/>
      <c r="D2" s="17"/>
      <c r="E2" s="17"/>
      <c r="F2" s="17"/>
      <c r="G2" s="17"/>
      <c r="H2" s="16"/>
      <c r="I2" s="16"/>
      <c r="J2" s="15"/>
    </row>
    <row r="3" spans="1:14" customFormat="1" x14ac:dyDescent="0.45">
      <c r="A3" s="40" t="s">
        <v>30</v>
      </c>
      <c r="B3" s="41"/>
      <c r="L3" s="48"/>
      <c r="M3" s="48"/>
      <c r="N3" s="48"/>
    </row>
    <row r="4" spans="1:14" customFormat="1" x14ac:dyDescent="0.45">
      <c r="A4" s="42" t="s">
        <v>31</v>
      </c>
      <c r="B4" s="41"/>
      <c r="L4" s="48"/>
      <c r="M4" s="48"/>
      <c r="N4" s="48"/>
    </row>
    <row r="5" spans="1:14" customFormat="1" x14ac:dyDescent="0.45">
      <c r="A5" s="43" t="s">
        <v>32</v>
      </c>
      <c r="B5" s="41"/>
      <c r="L5" s="48"/>
      <c r="M5" s="48"/>
      <c r="N5" s="48"/>
    </row>
    <row r="6" spans="1:14" x14ac:dyDescent="0.45">
      <c r="C6" s="10"/>
      <c r="E6" s="10"/>
      <c r="F6" s="10"/>
      <c r="G6" s="11" t="s">
        <v>14</v>
      </c>
      <c r="H6" s="12">
        <v>1000000</v>
      </c>
      <c r="J6" s="9"/>
      <c r="L6" s="37" t="s">
        <v>18</v>
      </c>
      <c r="M6" s="38"/>
      <c r="N6" s="39"/>
    </row>
    <row r="7" spans="1:14" ht="42.75" x14ac:dyDescent="0.45">
      <c r="A7" s="29" t="s">
        <v>28</v>
      </c>
      <c r="B7" s="30" t="s">
        <v>27</v>
      </c>
      <c r="C7" s="18" t="s">
        <v>24</v>
      </c>
      <c r="D7" s="25" t="s">
        <v>26</v>
      </c>
      <c r="E7" s="25" t="s">
        <v>12</v>
      </c>
      <c r="F7" s="18" t="s">
        <v>13</v>
      </c>
      <c r="G7" s="18" t="s">
        <v>15</v>
      </c>
      <c r="H7" s="18" t="s">
        <v>21</v>
      </c>
      <c r="I7" s="19" t="s">
        <v>22</v>
      </c>
      <c r="J7" s="19" t="s">
        <v>3</v>
      </c>
      <c r="K7" s="20" t="s">
        <v>4</v>
      </c>
      <c r="L7" s="49" t="s">
        <v>16</v>
      </c>
      <c r="M7" s="49" t="s">
        <v>17</v>
      </c>
      <c r="N7" s="49" t="s">
        <v>23</v>
      </c>
    </row>
    <row r="8" spans="1:14" x14ac:dyDescent="0.45">
      <c r="A8" s="13">
        <v>42</v>
      </c>
      <c r="B8" s="13" t="s">
        <v>5</v>
      </c>
      <c r="C8" s="12">
        <v>967800</v>
      </c>
      <c r="D8" s="28">
        <v>2</v>
      </c>
      <c r="E8" s="32">
        <f>C8*D8</f>
        <v>1935600</v>
      </c>
      <c r="F8" s="12">
        <v>490</v>
      </c>
      <c r="G8" s="14">
        <f>((E8*F8)/H$6)-F8</f>
        <v>458.44399999999996</v>
      </c>
      <c r="H8" s="33">
        <f>F8+G8</f>
        <v>948.44399999999996</v>
      </c>
      <c r="I8" s="12">
        <v>1000000</v>
      </c>
      <c r="J8" s="24">
        <f>100-(E8/I8*100)</f>
        <v>-93.56</v>
      </c>
      <c r="K8" s="24">
        <f t="shared" ref="K8:K12" si="0">100-J8</f>
        <v>193.56</v>
      </c>
      <c r="L8" s="51">
        <f>F8/1000</f>
        <v>0.49</v>
      </c>
      <c r="M8" s="50">
        <f t="shared" ref="M8:N12" si="1">G8/1000</f>
        <v>0.45844399999999996</v>
      </c>
      <c r="N8" s="51">
        <f t="shared" si="1"/>
        <v>0.94844399999999995</v>
      </c>
    </row>
    <row r="9" spans="1:14" x14ac:dyDescent="0.45">
      <c r="A9" s="13">
        <v>42</v>
      </c>
      <c r="B9" s="13" t="s">
        <v>6</v>
      </c>
      <c r="C9" s="12">
        <v>867000</v>
      </c>
      <c r="D9" s="28">
        <v>2</v>
      </c>
      <c r="E9" s="32">
        <f t="shared" ref="E9:E12" si="2">C9*D9</f>
        <v>1734000</v>
      </c>
      <c r="F9" s="12">
        <v>1000</v>
      </c>
      <c r="G9" s="14">
        <f>((E9*F9)/H$6)-F9</f>
        <v>734</v>
      </c>
      <c r="H9" s="33">
        <f t="shared" ref="H9:H12" si="3">F9+G9</f>
        <v>1734</v>
      </c>
      <c r="I9" s="12">
        <v>2000000</v>
      </c>
      <c r="J9" s="24">
        <f t="shared" ref="J9:J12" si="4">100-(E9/I9*100)</f>
        <v>13.299999999999997</v>
      </c>
      <c r="K9" s="24">
        <f t="shared" si="0"/>
        <v>86.7</v>
      </c>
      <c r="L9" s="51">
        <f t="shared" ref="L9:L12" si="5">F9/1000</f>
        <v>1</v>
      </c>
      <c r="M9" s="50">
        <f t="shared" si="1"/>
        <v>0.73399999999999999</v>
      </c>
      <c r="N9" s="51">
        <f t="shared" si="1"/>
        <v>1.734</v>
      </c>
    </row>
    <row r="10" spans="1:14" x14ac:dyDescent="0.45">
      <c r="A10" s="13">
        <v>42</v>
      </c>
      <c r="B10" s="13" t="s">
        <v>7</v>
      </c>
      <c r="C10" s="12">
        <v>956000</v>
      </c>
      <c r="D10" s="28">
        <v>2</v>
      </c>
      <c r="E10" s="32">
        <f t="shared" si="2"/>
        <v>1912000</v>
      </c>
      <c r="F10" s="12">
        <v>700</v>
      </c>
      <c r="G10" s="14">
        <f>((E10*F10)/H$6)-F10</f>
        <v>638.40000000000009</v>
      </c>
      <c r="H10" s="33">
        <f t="shared" si="3"/>
        <v>1338.4</v>
      </c>
      <c r="I10" s="12">
        <v>2000000</v>
      </c>
      <c r="J10" s="24">
        <f t="shared" si="4"/>
        <v>4.4000000000000057</v>
      </c>
      <c r="K10" s="24">
        <f t="shared" si="0"/>
        <v>95.6</v>
      </c>
      <c r="L10" s="51">
        <f t="shared" si="5"/>
        <v>0.7</v>
      </c>
      <c r="M10" s="50">
        <f t="shared" si="1"/>
        <v>0.63840000000000008</v>
      </c>
      <c r="N10" s="51">
        <f t="shared" si="1"/>
        <v>1.3384</v>
      </c>
    </row>
    <row r="11" spans="1:14" x14ac:dyDescent="0.45">
      <c r="A11" s="13">
        <v>45</v>
      </c>
      <c r="B11" s="13" t="s">
        <v>8</v>
      </c>
      <c r="C11" s="12">
        <v>2945000</v>
      </c>
      <c r="D11" s="28">
        <v>1</v>
      </c>
      <c r="E11" s="32">
        <f t="shared" si="2"/>
        <v>2945000</v>
      </c>
      <c r="F11" s="12">
        <v>500</v>
      </c>
      <c r="G11" s="14">
        <f>((E11*F11)/H$6)-F11</f>
        <v>972.5</v>
      </c>
      <c r="H11" s="33">
        <f t="shared" si="3"/>
        <v>1472.5</v>
      </c>
      <c r="I11" s="12">
        <v>3000000</v>
      </c>
      <c r="J11" s="24">
        <f t="shared" si="4"/>
        <v>1.8333333333333286</v>
      </c>
      <c r="K11" s="24">
        <f t="shared" si="0"/>
        <v>98.166666666666671</v>
      </c>
      <c r="L11" s="51">
        <f t="shared" si="5"/>
        <v>0.5</v>
      </c>
      <c r="M11" s="50">
        <f t="shared" si="1"/>
        <v>0.97250000000000003</v>
      </c>
      <c r="N11" s="51">
        <f t="shared" si="1"/>
        <v>1.4724999999999999</v>
      </c>
    </row>
    <row r="12" spans="1:14" x14ac:dyDescent="0.45">
      <c r="A12" s="13">
        <v>26</v>
      </c>
      <c r="B12" s="13" t="s">
        <v>9</v>
      </c>
      <c r="C12" s="12">
        <v>1825000</v>
      </c>
      <c r="D12" s="28">
        <v>2</v>
      </c>
      <c r="E12" s="32">
        <f t="shared" si="2"/>
        <v>3650000</v>
      </c>
      <c r="F12" s="12">
        <v>500</v>
      </c>
      <c r="G12" s="14">
        <f>((E12*F12)/H$6)-F12</f>
        <v>1325</v>
      </c>
      <c r="H12" s="33">
        <f t="shared" si="3"/>
        <v>1825</v>
      </c>
      <c r="I12" s="12">
        <v>3000000</v>
      </c>
      <c r="J12" s="24">
        <f t="shared" si="4"/>
        <v>-21.666666666666657</v>
      </c>
      <c r="K12" s="24">
        <f t="shared" si="0"/>
        <v>121.66666666666666</v>
      </c>
      <c r="L12" s="51">
        <f t="shared" si="5"/>
        <v>0.5</v>
      </c>
      <c r="M12" s="50">
        <f t="shared" si="1"/>
        <v>1.325</v>
      </c>
      <c r="N12" s="51">
        <f t="shared" si="1"/>
        <v>1.825</v>
      </c>
    </row>
  </sheetData>
  <mergeCells count="5">
    <mergeCell ref="C1:G1"/>
    <mergeCell ref="L6:N6"/>
    <mergeCell ref="A3:B3"/>
    <mergeCell ref="A4:B4"/>
    <mergeCell ref="A5:B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Select volume and concentration</vt:lpstr>
      <vt:lpstr>Whole stock dilution</vt:lpstr>
    </vt:vector>
  </TitlesOfParts>
  <Company>Luminex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Angeloni</dc:creator>
  <cp:lastModifiedBy>Stephen Angeloni</cp:lastModifiedBy>
  <dcterms:created xsi:type="dcterms:W3CDTF">2013-10-08T17:50:33Z</dcterms:created>
  <dcterms:modified xsi:type="dcterms:W3CDTF">2020-07-13T17:55:03Z</dcterms:modified>
</cp:coreProperties>
</file>